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950c80ed2b00513e/Escritorio/Consultoría/Gaido_Consulting_Web/recursos/"/>
    </mc:Choice>
  </mc:AlternateContent>
  <xr:revisionPtr revIDLastSave="616" documentId="11_AD4D2F04E46CFB4ACB3E20CAB590D3B6693EDF16" xr6:coauthVersionLast="47" xr6:coauthVersionMax="47" xr10:uidLastSave="{F45BA9C9-7695-4EA9-AB25-FE3D90A926AC}"/>
  <bookViews>
    <workbookView xWindow="-120" yWindow="-120" windowWidth="29040" windowHeight="15720" xr2:uid="{00000000-000D-0000-FFFF-FFFF00000000}"/>
  </bookViews>
  <sheets>
    <sheet name="Productos" sheetId="1" r:id="rId1"/>
  </sheets>
  <definedNames>
    <definedName name="SegmentaciónDeDatos_Semaforo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K6" i="1" s="1"/>
  <c r="J6" i="1" s="1"/>
  <c r="F7" i="1"/>
  <c r="F8" i="1"/>
  <c r="F9" i="1"/>
  <c r="F10" i="1"/>
  <c r="F11" i="1"/>
  <c r="F12" i="1"/>
  <c r="G12" i="1" s="1"/>
  <c r="I12" i="1" s="1"/>
  <c r="F13" i="1"/>
  <c r="G13" i="1" s="1"/>
  <c r="I13" i="1" s="1"/>
  <c r="F14" i="1"/>
  <c r="G14" i="1" s="1"/>
  <c r="I14" i="1" s="1"/>
  <c r="F15" i="1"/>
  <c r="F16" i="1"/>
  <c r="F17" i="1"/>
  <c r="G17" i="1" s="1"/>
  <c r="I17" i="1" s="1"/>
  <c r="F18" i="1"/>
  <c r="G18" i="1" s="1"/>
  <c r="F19" i="1"/>
  <c r="G19" i="1" s="1"/>
  <c r="F20" i="1"/>
  <c r="G20" i="1" s="1"/>
  <c r="I20" i="1" s="1"/>
  <c r="F21" i="1"/>
  <c r="G21" i="1" s="1"/>
  <c r="I21" i="1" s="1"/>
  <c r="F22" i="1"/>
  <c r="G22" i="1" s="1"/>
  <c r="I22" i="1" s="1"/>
  <c r="F23" i="1"/>
  <c r="F24" i="1"/>
  <c r="F25" i="1"/>
  <c r="F26" i="1"/>
  <c r="G26" i="1" s="1"/>
  <c r="I26" i="1" s="1"/>
  <c r="G7" i="1"/>
  <c r="I7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G8" i="1"/>
  <c r="I8" i="1" s="1"/>
  <c r="G9" i="1"/>
  <c r="I9" i="1" s="1"/>
  <c r="G10" i="1"/>
  <c r="G11" i="1"/>
  <c r="I11" i="1" s="1"/>
  <c r="G15" i="1"/>
  <c r="I15" i="1" s="1"/>
  <c r="G16" i="1"/>
  <c r="I16" i="1" s="1"/>
  <c r="G23" i="1"/>
  <c r="I23" i="1" s="1"/>
  <c r="G24" i="1"/>
  <c r="I24" i="1" s="1"/>
  <c r="G25" i="1"/>
  <c r="I25" i="1" s="1"/>
  <c r="N3" i="1" l="1"/>
  <c r="I6" i="1"/>
  <c r="K21" i="1"/>
  <c r="J21" i="1" s="1"/>
  <c r="K13" i="1"/>
  <c r="J13" i="1" s="1"/>
  <c r="I18" i="1"/>
  <c r="K20" i="1"/>
  <c r="J20" i="1" s="1"/>
  <c r="K12" i="1"/>
  <c r="J12" i="1" s="1"/>
  <c r="I10" i="1"/>
  <c r="K19" i="1"/>
  <c r="J19" i="1" s="1"/>
  <c r="K11" i="1"/>
  <c r="J11" i="1" s="1"/>
  <c r="K26" i="1"/>
  <c r="J26" i="1" s="1"/>
  <c r="K18" i="1"/>
  <c r="J18" i="1" s="1"/>
  <c r="K10" i="1"/>
  <c r="J10" i="1" s="1"/>
  <c r="K25" i="1"/>
  <c r="J25" i="1" s="1"/>
  <c r="K17" i="1"/>
  <c r="J17" i="1" s="1"/>
  <c r="K9" i="1"/>
  <c r="J9" i="1" s="1"/>
  <c r="K24" i="1"/>
  <c r="J24" i="1" s="1"/>
  <c r="K16" i="1"/>
  <c r="J16" i="1" s="1"/>
  <c r="K8" i="1"/>
  <c r="J8" i="1" s="1"/>
  <c r="K23" i="1"/>
  <c r="J23" i="1" s="1"/>
  <c r="K15" i="1"/>
  <c r="J15" i="1" s="1"/>
  <c r="K7" i="1"/>
  <c r="J7" i="1" s="1"/>
  <c r="K22" i="1"/>
  <c r="J22" i="1" s="1"/>
  <c r="K14" i="1"/>
  <c r="J14" i="1" s="1"/>
  <c r="I19" i="1"/>
  <c r="N4" i="1" l="1"/>
  <c r="M6" i="1" s="1"/>
  <c r="K27" i="1"/>
  <c r="N5" i="1" l="1"/>
  <c r="L5" i="1"/>
  <c r="L2" i="1"/>
  <c r="L4" i="1"/>
  <c r="P2" i="1" l="1"/>
  <c r="O2" i="1"/>
  <c r="Q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<sst xmlns="http://schemas.openxmlformats.org/spreadsheetml/2006/main" count="67" uniqueCount="65">
  <si>
    <t>Código</t>
  </si>
  <si>
    <t>Costo Unitario</t>
  </si>
  <si>
    <t>Stock Actual</t>
  </si>
  <si>
    <t>Venta de los últimos 12 meses</t>
  </si>
  <si>
    <t>Días de stock deseados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</si>
  <si>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</si>
  <si>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</si>
  <si>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</si>
  <si>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</si>
  <si>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</si>
  <si>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</si>
  <si>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</si>
  <si>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</si>
  <si>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</si>
  <si>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</si>
  <si>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</si>
  <si>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</si>
  <si>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</si>
  <si>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</si>
  <si>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</si>
  <si>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</si>
  <si>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</si>
  <si>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</si>
  <si>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</si>
  <si>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</si>
  <si>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</si>
  <si>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Articulo 1</t>
  </si>
  <si>
    <t>Articulo 2</t>
  </si>
  <si>
    <t>Articulo 3</t>
  </si>
  <si>
    <t>Articulo 4</t>
  </si>
  <si>
    <t>Articulo 5</t>
  </si>
  <si>
    <t>Articulo 6</t>
  </si>
  <si>
    <t>Articulo 7</t>
  </si>
  <si>
    <t>Articulo 8</t>
  </si>
  <si>
    <t>Articulo 9</t>
  </si>
  <si>
    <t>Articulo 10</t>
  </si>
  <si>
    <t>Articulo 11</t>
  </si>
  <si>
    <t>Articulo 12</t>
  </si>
  <si>
    <t>Articulo 13</t>
  </si>
  <si>
    <t>Articulo 14</t>
  </si>
  <si>
    <t>Articulo 15</t>
  </si>
  <si>
    <t>Articulo 16</t>
  </si>
  <si>
    <t>Articulo 17</t>
  </si>
  <si>
    <t>Articulo 18</t>
  </si>
  <si>
    <t>Articulo 19</t>
  </si>
  <si>
    <t>Articulo 20</t>
  </si>
  <si>
    <t>Articulo 21</t>
  </si>
  <si>
    <t>Venta diaria promedio</t>
  </si>
  <si>
    <t>Días de inventario</t>
  </si>
  <si>
    <t>Costo de inventario</t>
  </si>
  <si>
    <t>Cumple días de inventario</t>
  </si>
  <si>
    <t>Capital inmovilizado</t>
  </si>
  <si>
    <t>Capital Inmovilizado</t>
  </si>
  <si>
    <t>Días de stock mínimo</t>
  </si>
  <si>
    <t>Semaforo</t>
  </si>
  <si>
    <t>Porcentaje del capital total</t>
  </si>
  <si>
    <t xml:space="preserve">COPIA Y PEGA TUS DATOS AQUÍ </t>
  </si>
  <si>
    <t>SECCION DE CALCULOS NO MODIFICAR</t>
  </si>
  <si>
    <t>Total</t>
  </si>
  <si>
    <t>Porcentaje de articulos críticos</t>
  </si>
  <si>
    <t>Porcentaje de articulos cerca del quiebre</t>
  </si>
  <si>
    <t>Porcentaje de articulos Óptimos</t>
  </si>
  <si>
    <t>Costo total del inventario</t>
  </si>
  <si>
    <t>Decripcion del artículo</t>
  </si>
  <si>
    <t>Gaido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</si>
</sst>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$-2C0A]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440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9" fontId="10" fillId="0" borderId="0" xfId="1" applyFont="1" applyAlignment="1">
      <alignment horizontal="center" vertical="center"/>
    </xf>
    <xf numFmtId="9" fontId="11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Hipervínculo" xfId="2" builtinId="8"/>
    <cellStyle name="Normal" xfId="0" builtinId="0"/>
    <cellStyle name="Porcentaje" xfId="1" builtinId="5"/>
  </cellStyles>
  <dxfs count="26"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164" formatCode="[$$-2C0A]\ #,##0.00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164" formatCode="[$$-2C0A]\ #,##0.00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1" formatCode="0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numFmt numFmtId="1" formatCode="0"/>
      <fill>
        <patternFill patternType="solid">
          <fgColor indexed="64"/>
          <bgColor rgb="FF344054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[$$-2C0A]\ 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5E7A9B"/>
        </patternFill>
      </fill>
    </dxf>
    <dxf>
      <fill>
        <patternFill>
          <bgColor rgb="FF0D2C54"/>
        </patternFill>
      </fill>
    </dxf>
  </dxfs>
  <tableStyles count="1" defaultTableStyle="Estilo Tabla Gaido" defaultPivotStyle="PivotStyleLight16">
    <tableStyle name="Estilo Tabla Gaido" pivot="0" count="2" xr9:uid="{461E0A4E-DC6A-4333-8332-E5F68FE533FA}">
      <tableStyleElement type="headerRow" dxfId="25"/>
      <tableStyleElement type="firstRowStripe" dxfId="24"/>
    </tableStyle>
  </tableStyles>
  <colors>
    <mruColors>
      <color rgb="FF344054"/>
      <color rgb="FF5E7A9B"/>
      <color rgb="FF0D2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76199</xdr:colOff>
      <xdr:row>2</xdr:row>
      <xdr:rowOff>19051</xdr:rowOff>
    </xdr:from>
    <xdr:to>
      <xdr:col>17</xdr:col>
      <xdr:colOff>9524</xdr:colOff>
      <xdr:row>4</xdr:row>
      <xdr:rowOff>400050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emaforo 1">
              <a:extLst>
                <a:ext uri="{FF2B5EF4-FFF2-40B4-BE49-F238E27FC236}">
                  <a16:creationId xmlns:a16="http://schemas.microsoft.com/office/drawing/2014/main" id="{126AD5A8-2069-4B26-8D9F-14774912EE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mafor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72549" y="695326"/>
              <a:ext cx="4791075" cy="1190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maforo1" xr10:uid="{17A795AD-C3D3-45EC-9BE8-DB0C47D9411C}" sourceName="Semaforo">
  <extLst>
    <x:ext xmlns:x15="http://schemas.microsoft.com/office/spreadsheetml/2010/11/main" uri="{2F2917AC-EB37-4324-AD4E-5DD8C200BD13}">
      <x15:tableSlicerCache tableId="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maforo 1" xr10:uid="{0164D664-2529-4FFB-BE1A-54C8AA2CC194}" cache="SegmentaciónDeDatos_Semaforo1" caption="Salud del stock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17722-F6A9-4B19-842F-6D610988B593}" name="TablaStock" displayName="TablaStock" ref="A5:K27" totalsRowCount="1" headerRowDxfId="23" dataDxfId="22">
  <autoFilter ref="A5:K26" xr:uid="{AEE17722-F6A9-4B19-842F-6D610988B593}"/>
  <tableColumns count="11">
    <tableColumn id="1" xr3:uid="{0C5DC443-CFA0-4330-999C-73B159B8B4FC}" name="Código" totalsRowLabel="Total" dataDxfId="21" totalsRowDxfId="20"/>
    <tableColumn id="2" xr3:uid="{A8425E8E-761E-4C8D-9C33-608A2B24E5EF}" name="Decripcion del artículo" dataDxfId="19" totalsRowDxfId="18"/>
    <tableColumn id="3" xr3:uid="{52F479C6-703F-40EB-97AA-2B1F700C94CB}" name="Costo Unitario" dataDxfId="17" totalsRowDxfId="16"/>
    <tableColumn id="4" xr3:uid="{27B0F9EE-C384-459B-B62C-5BBFECF8A917}" name="Stock Actual" dataDxfId="15" totalsRowDxfId="14"/>
    <tableColumn id="5" xr3:uid="{DFF0380A-75D4-4D50-91D0-60AF08B7BBDB}" name="Venta de los últimos 12 meses" dataDxfId="13" totalsRowDxfId="12"/>
    <tableColumn id="6" xr3:uid="{D0B70243-7291-4611-8576-BB99920EE4EE}" name="Venta diaria promedio" dataDxfId="11" totalsRowDxfId="10">
      <calculatedColumnFormula>+TablaStock[[#This Row],[Venta de los últimos 12 meses]]/365</calculatedColumnFormula>
    </tableColumn>
    <tableColumn id="7" xr3:uid="{9F1D087E-641B-4966-95A3-062A7EFD6FDD}" name="Días de inventario" dataDxfId="9" totalsRowDxfId="8">
      <calculatedColumnFormula>+TablaStock[[#This Row],[Stock Actual]]/TablaStock[[#This Row],[Venta diaria promedio]]</calculatedColumnFormula>
    </tableColumn>
    <tableColumn id="8" xr3:uid="{7DDF8C55-8082-415F-970C-6B7470D7E2EE}" name="Costo de inventario" dataDxfId="7" totalsRowDxfId="6">
      <calculatedColumnFormula>+TablaStock[[#This Row],[Costo Unitario]]*TablaStock[[#This Row],[Stock Actual]]</calculatedColumnFormula>
    </tableColumn>
    <tableColumn id="9" xr3:uid="{3EF13EAE-7850-4B51-B2A6-C8EDA99C6889}" name="Cumple días de inventario" dataDxfId="5" totalsRowDxfId="4">
      <calculatedColumnFormula>+IF(TablaStock[[#This Row],[Días de inventario]]&gt;Productos!$N$2,"No Cumple","Si Cumple")</calculatedColumnFormula>
    </tableColumn>
    <tableColumn id="10" xr3:uid="{E03C924F-1D76-45F5-836D-94F054F128A4}" name="Capital inmovilizado" dataDxfId="3" totalsRowDxfId="2">
      <calculatedColumnFormula>+IF(TablaStock[[#This Row],[Semaforo]]="Critico",(TablaStock[[#This Row],[Stock Actual]]-ROUND(TablaStock[[#This Row],[Venta diaria promedio]]*$N$2,0))*TablaStock[[#This Row],[Costo Unitario]],0)</calculatedColumnFormula>
    </tableColumn>
    <tableColumn id="11" xr3:uid="{52C67FE1-7641-417E-A92E-C70ACF3A3778}" name="Semaforo" totalsRowFunction="count" dataDxfId="1" totalsRowDxfId="0">
      <calculatedColumnFormula>+IF(TablaStock[[#This Row],[Días de inventario]]&gt;Productos!$P$5,"Critico",IF(AND(TablaStock[[#This Row],[Días de inventario]]&lt;Productos!$P$5,TablaStock[[#This Row],[Días de inventario]]&gt;Productos!$P$4),"Óptimo","Posible Quiebre"))</calculatedColumnFormula>
    </tableColumn>
  </tableColumns>
  <tableStyleInfo name="Estilo Tabla Gaid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microsoft.com/office/2007/relationships/slicer" Target="../slicers/slicer1.xml"/><Relationship Id="rId3" Type="http://schemas.openxmlformats.org/officeDocument/2006/relationships/hyperlink" Target="https://wa.me/5493517539140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instagram.com/gaidoconsultingar/" TargetMode="External"/><Relationship Id="rId1" Type="http://schemas.openxmlformats.org/officeDocument/2006/relationships/hyperlink" Target="https://www.linkedin.com/company/gaido-consulting-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aidoconsulting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workbookViewId="0">
      <selection activeCell="P14" sqref="P14:Q15"/>
    </sheetView>
  </sheetViews>
  <sheetFormatPr baseColWidth="10" defaultColWidth="9.140625" defaultRowHeight="15" x14ac:dyDescent="0.25"/>
  <cols>
    <col min="1" max="1" width="11.7109375" style="2" bestFit="1" customWidth="1"/>
    <col min="2" max="2" width="15.85546875" style="2" bestFit="1" customWidth="1"/>
    <col min="3" max="3" width="13.28515625" style="2" customWidth="1"/>
    <col min="4" max="4" width="10.7109375" style="2" customWidth="1"/>
    <col min="5" max="5" width="19" style="2" customWidth="1"/>
    <col min="6" max="6" width="11.7109375" style="2" hidden="1" customWidth="1"/>
    <col min="7" max="7" width="11.5703125" hidden="1" customWidth="1"/>
    <col min="8" max="8" width="14.7109375" hidden="1" customWidth="1"/>
    <col min="9" max="9" width="17.42578125" hidden="1" customWidth="1"/>
    <col min="10" max="10" width="15.85546875" hidden="1" customWidth="1"/>
    <col min="11" max="11" width="15.28515625" hidden="1" customWidth="1"/>
    <col min="12" max="12" width="9.140625" hidden="1" customWidth="1"/>
    <col min="13" max="13" width="23.5703125" customWidth="1"/>
    <col min="14" max="14" width="39.28515625" customWidth="1"/>
    <col min="15" max="17" width="24.28515625" style="11" customWidth="1"/>
  </cols>
  <sheetData>
    <row r="1" spans="1:21" ht="30" customHeight="1" x14ac:dyDescent="0.25">
      <c r="A1" s="26" t="s">
        <v>56</v>
      </c>
      <c r="B1" s="26"/>
      <c r="C1" s="26"/>
      <c r="D1" s="26"/>
      <c r="E1" s="26"/>
      <c r="F1" s="27" t="s">
        <v>57</v>
      </c>
      <c r="G1" s="27"/>
      <c r="H1" s="27"/>
      <c r="I1" s="27"/>
      <c r="J1" s="27"/>
      <c r="K1" s="27"/>
      <c r="M1" s="6" t="s">
        <v>53</v>
      </c>
      <c r="N1" s="12">
        <v>60</v>
      </c>
      <c r="O1" s="2" t="s">
        <v>59</v>
      </c>
      <c r="P1" s="2" t="s">
        <v>60</v>
      </c>
      <c r="Q1" s="2" t="s">
        <v>61</v>
      </c>
      <c r="R1" s="30"/>
      <c r="S1" s="30"/>
      <c r="T1" s="30"/>
      <c r="U1" s="30"/>
    </row>
    <row r="2" spans="1:21" ht="23.25" x14ac:dyDescent="0.25">
      <c r="A2" s="26"/>
      <c r="B2" s="26"/>
      <c r="C2" s="26"/>
      <c r="D2" s="26"/>
      <c r="E2" s="26"/>
      <c r="F2" s="27"/>
      <c r="G2" s="27"/>
      <c r="H2" s="27"/>
      <c r="I2" s="27"/>
      <c r="J2" s="27"/>
      <c r="K2" s="27"/>
      <c r="L2" s="15">
        <f>+COUNTIF(TablaStock[[#Data],[#Totals],[Semaforo]],"Critico")</f>
        <v>3</v>
      </c>
      <c r="M2" s="6" t="s">
        <v>4</v>
      </c>
      <c r="N2" s="12">
        <v>90</v>
      </c>
      <c r="O2" s="17">
        <f>+COUNTIF(TablaStock[[#Data],[#Totals],[Semaforo]],"Critico")/SUM(L2:L5)</f>
        <v>0.14285714285714285</v>
      </c>
      <c r="P2" s="18">
        <f>+COUNTIF(TablaStock[[#Data],[#Totals],[Semaforo]],"Posible Quiebre")/SUM(L2:L5)</f>
        <v>0.66666666666666663</v>
      </c>
      <c r="Q2" s="19">
        <f>+COUNTIF(TablaStock[[#Data],[#Totals],[Semaforo]],"óptimo")/SUM(L2:L5)</f>
        <v>0.19047619047619047</v>
      </c>
      <c r="R2" s="30"/>
      <c r="S2" s="30"/>
      <c r="T2" s="30"/>
      <c r="U2" s="30"/>
    </row>
    <row r="3" spans="1:21" ht="30" x14ac:dyDescent="0.25">
      <c r="A3" s="26"/>
      <c r="B3" s="26"/>
      <c r="C3" s="26"/>
      <c r="D3" s="26"/>
      <c r="E3" s="26"/>
      <c r="F3" s="27"/>
      <c r="G3" s="27"/>
      <c r="H3" s="27"/>
      <c r="I3" s="27"/>
      <c r="J3" s="27"/>
      <c r="K3" s="27"/>
      <c r="L3" s="15"/>
      <c r="M3" s="6" t="s">
        <v>62</v>
      </c>
      <c r="N3" s="21">
        <f>+SUM(TablaStock[[#Headers],[#Data],[Costo de inventario]])</f>
        <v>46852960</v>
      </c>
      <c r="O3" s="17"/>
      <c r="P3" s="18"/>
      <c r="Q3" s="19"/>
      <c r="R3" s="20"/>
      <c r="S3" s="20"/>
      <c r="T3" s="20"/>
      <c r="U3" s="20"/>
    </row>
    <row r="4" spans="1:21" ht="33.75" customHeight="1" x14ac:dyDescent="0.25">
      <c r="A4" s="26"/>
      <c r="B4" s="26"/>
      <c r="C4" s="26"/>
      <c r="D4" s="26"/>
      <c r="E4" s="26"/>
      <c r="F4" s="27"/>
      <c r="G4" s="27"/>
      <c r="H4" s="27"/>
      <c r="I4" s="27"/>
      <c r="J4" s="27"/>
      <c r="K4" s="27"/>
      <c r="L4" s="16">
        <f>+COUNTIF(TablaStock[[#Data],[#Totals],[Semaforo]],"Posible Quiebre")</f>
        <v>14</v>
      </c>
      <c r="M4" s="6" t="s">
        <v>52</v>
      </c>
      <c r="N4" s="13">
        <f>+ROUND(SUM(TablaStock[Capital inmovilizado]),2)</f>
        <v>8351000</v>
      </c>
      <c r="R4" s="20"/>
      <c r="S4" s="20"/>
      <c r="T4" s="20"/>
      <c r="U4" s="20"/>
    </row>
    <row r="5" spans="1:21" s="1" customFormat="1" ht="33.75" x14ac:dyDescent="0.25">
      <c r="A5" s="3" t="s">
        <v>0</v>
      </c>
      <c r="B5" s="3" t="s">
        <v>63</v>
      </c>
      <c r="C5" s="3" t="s">
        <v>1</v>
      </c>
      <c r="D5" s="3" t="s">
        <v>2</v>
      </c>
      <c r="E5" s="3" t="s">
        <v>3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54</v>
      </c>
      <c r="L5" s="16">
        <f>+COUNTIF(TablaStock[[#Data],[#Totals],[Semaforo]],"óptimo")</f>
        <v>4</v>
      </c>
      <c r="M5" s="6" t="s">
        <v>55</v>
      </c>
      <c r="N5" s="14">
        <f>+N4/SUM(TablaStock[Costo de inventario])</f>
        <v>0.17823847201969736</v>
      </c>
      <c r="O5" s="2"/>
      <c r="P5" s="2"/>
      <c r="Q5" s="2"/>
      <c r="R5" s="20"/>
      <c r="S5" s="20"/>
      <c r="T5" s="20"/>
      <c r="U5" s="20"/>
    </row>
    <row r="6" spans="1:21" x14ac:dyDescent="0.25">
      <c r="A6" s="4" t="s">
        <v>5</v>
      </c>
      <c r="B6" s="2" t="s">
        <v>26</v>
      </c>
      <c r="C6" s="5">
        <v>1500</v>
      </c>
      <c r="D6" s="2">
        <v>100</v>
      </c>
      <c r="E6" s="2">
        <v>50</v>
      </c>
      <c r="F6" s="8">
        <f>+TablaStock[[#This Row],[Venta de los últimos 12 meses]]/365</f>
        <v>0.13698630136986301</v>
      </c>
      <c r="G6" s="8">
        <f>+TablaStock[[#This Row],[Stock Actual]]/TablaStock[[#This Row],[Venta diaria promedio]]</f>
        <v>730</v>
      </c>
      <c r="H6" s="9">
        <f>+TablaStock[[#This Row],[Costo Unitario]]*TablaStock[[#This Row],[Stock Actual]]</f>
        <v>150000</v>
      </c>
      <c r="I6" s="10" t="str">
        <f>+IF(TablaStock[[#This Row],[Días de inventario]]&gt;Productos!$N$2,"No Cumple","Si Cumple")</f>
        <v>No Cumple</v>
      </c>
      <c r="J6" s="9">
        <f>+IF(TablaStock[[#This Row],[Semaforo]]="Critico",(TablaStock[[#This Row],[Stock Actual]]-ROUND(TablaStock[[#This Row],[Venta diaria promedio]]*$N$2,0))*TablaStock[[#This Row],[Costo Unitario]],0)</f>
        <v>132000</v>
      </c>
      <c r="K6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Critico</v>
      </c>
      <c r="M6" s="29" t="str">
        <f>+"El gran número en rojo es tu capital inmovilizado, desde Gaido podemos ayudarte a reducir los $"&amp;N4&amp;" que hoy se comen tu rentabilidad, solo tenes que dar click en el enlace debajo"</f>
        <v>El gran número en rojo es tu capital inmovilizado, desde Gaido podemos ayudarte a reducir los $8351000 que hoy se comen tu rentabilidad, solo tenes que dar click en el enlace debajo</v>
      </c>
      <c r="N6" s="29"/>
      <c r="O6" s="29"/>
      <c r="P6" s="29"/>
      <c r="Q6" s="29"/>
      <c r="R6" s="20"/>
    </row>
    <row r="7" spans="1:21" x14ac:dyDescent="0.25">
      <c r="A7" s="4" t="s">
        <v>6</v>
      </c>
      <c r="B7" s="2" t="s">
        <v>27</v>
      </c>
      <c r="C7" s="5">
        <v>2500</v>
      </c>
      <c r="D7" s="2">
        <v>10</v>
      </c>
      <c r="E7" s="2">
        <v>600</v>
      </c>
      <c r="F7" s="8">
        <f>+TablaStock[[#This Row],[Venta de los últimos 12 meses]]/365</f>
        <v>1.6438356164383561</v>
      </c>
      <c r="G7" s="8">
        <f>+TablaStock[[#This Row],[Stock Actual]]/TablaStock[[#This Row],[Venta diaria promedio]]</f>
        <v>6.0833333333333339</v>
      </c>
      <c r="H7" s="9">
        <f>+TablaStock[[#This Row],[Costo Unitario]]*TablaStock[[#This Row],[Stock Actual]]</f>
        <v>25000</v>
      </c>
      <c r="I7" s="10" t="str">
        <f>+IF(TablaStock[[#This Row],[Días de inventario]]&gt;Productos!$N$2,"No Cumple","Si Cumple")</f>
        <v>Si Cumple</v>
      </c>
      <c r="J7" s="9">
        <f>+IF(TablaStock[[#This Row],[Semaforo]]="Critico",(TablaStock[[#This Row],[Stock Actual]]-ROUND(TablaStock[[#This Row],[Venta diaria promedio]]*$N$2,0))*TablaStock[[#This Row],[Costo Unitario]],0)</f>
        <v>0</v>
      </c>
      <c r="K7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7" s="29"/>
      <c r="N7" s="29"/>
      <c r="O7" s="29"/>
      <c r="P7" s="29"/>
      <c r="Q7" s="29"/>
    </row>
    <row r="8" spans="1:21" x14ac:dyDescent="0.25">
      <c r="A8" s="4" t="s">
        <v>7</v>
      </c>
      <c r="B8" s="2" t="s">
        <v>28</v>
      </c>
      <c r="C8" s="5">
        <v>2500</v>
      </c>
      <c r="D8" s="2">
        <v>500</v>
      </c>
      <c r="E8" s="2">
        <v>900</v>
      </c>
      <c r="F8" s="8">
        <f>+TablaStock[[#This Row],[Venta de los últimos 12 meses]]/365</f>
        <v>2.4657534246575343</v>
      </c>
      <c r="G8" s="8">
        <f>+TablaStock[[#This Row],[Stock Actual]]/TablaStock[[#This Row],[Venta diaria promedio]]</f>
        <v>202.77777777777777</v>
      </c>
      <c r="H8" s="9">
        <f>+TablaStock[[#This Row],[Costo Unitario]]*TablaStock[[#This Row],[Stock Actual]]</f>
        <v>1250000</v>
      </c>
      <c r="I8" s="10" t="str">
        <f>+IF(TablaStock[[#This Row],[Días de inventario]]&gt;Productos!$N$2,"No Cumple","Si Cumple")</f>
        <v>No Cumple</v>
      </c>
      <c r="J8" s="9">
        <f>+IF(TablaStock[[#This Row],[Semaforo]]="Critico",(TablaStock[[#This Row],[Stock Actual]]-ROUND(TablaStock[[#This Row],[Venta diaria promedio]]*$N$2,0))*TablaStock[[#This Row],[Costo Unitario]],0)</f>
        <v>695000</v>
      </c>
      <c r="K8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Critico</v>
      </c>
      <c r="M8" s="29"/>
      <c r="N8" s="29"/>
      <c r="O8" s="29"/>
      <c r="P8" s="29"/>
      <c r="Q8" s="29"/>
    </row>
    <row r="9" spans="1:21" x14ac:dyDescent="0.25">
      <c r="A9" s="4" t="s">
        <v>8</v>
      </c>
      <c r="B9" s="2" t="s">
        <v>29</v>
      </c>
      <c r="C9" s="5">
        <v>4580</v>
      </c>
      <c r="D9" s="2">
        <v>356</v>
      </c>
      <c r="E9" s="2">
        <v>1500</v>
      </c>
      <c r="F9" s="8">
        <f>+TablaStock[[#This Row],[Venta de los últimos 12 meses]]/365</f>
        <v>4.1095890410958908</v>
      </c>
      <c r="G9" s="8">
        <f>+TablaStock[[#This Row],[Stock Actual]]/TablaStock[[#This Row],[Venta diaria promedio]]</f>
        <v>86.626666666666651</v>
      </c>
      <c r="H9" s="9">
        <f>+TablaStock[[#This Row],[Costo Unitario]]*TablaStock[[#This Row],[Stock Actual]]</f>
        <v>1630480</v>
      </c>
      <c r="I9" s="10" t="str">
        <f>+IF(TablaStock[[#This Row],[Días de inventario]]&gt;Productos!$N$2,"No Cumple","Si Cumple")</f>
        <v>Si Cumple</v>
      </c>
      <c r="J9" s="9">
        <f>+IF(TablaStock[[#This Row],[Semaforo]]="Critico",(TablaStock[[#This Row],[Stock Actual]]-ROUND(TablaStock[[#This Row],[Venta diaria promedio]]*$N$2,0))*TablaStock[[#This Row],[Costo Unitario]],0)</f>
        <v>0</v>
      </c>
      <c r="K9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Óptimo</v>
      </c>
      <c r="M9" s="29"/>
      <c r="N9" s="29"/>
      <c r="O9" s="29"/>
      <c r="P9" s="29"/>
      <c r="Q9" s="29"/>
    </row>
    <row r="10" spans="1:21" x14ac:dyDescent="0.25">
      <c r="A10" s="4" t="s">
        <v>9</v>
      </c>
      <c r="B10" s="2" t="s">
        <v>30</v>
      </c>
      <c r="C10" s="5">
        <v>3570</v>
      </c>
      <c r="D10" s="2">
        <v>478</v>
      </c>
      <c r="E10" s="2">
        <v>2500</v>
      </c>
      <c r="F10" s="8">
        <f>+TablaStock[[#This Row],[Venta de los últimos 12 meses]]/365</f>
        <v>6.8493150684931505</v>
      </c>
      <c r="G10" s="8">
        <f>+TablaStock[[#This Row],[Stock Actual]]/TablaStock[[#This Row],[Venta diaria promedio]]</f>
        <v>69.787999999999997</v>
      </c>
      <c r="H10" s="9">
        <f>+TablaStock[[#This Row],[Costo Unitario]]*TablaStock[[#This Row],[Stock Actual]]</f>
        <v>1706460</v>
      </c>
      <c r="I10" s="10" t="str">
        <f>+IF(TablaStock[[#This Row],[Días de inventario]]&gt;Productos!$N$2,"No Cumple","Si Cumple")</f>
        <v>Si Cumple</v>
      </c>
      <c r="J10" s="9">
        <f>+IF(TablaStock[[#This Row],[Semaforo]]="Critico",(TablaStock[[#This Row],[Stock Actual]]-ROUND(TablaStock[[#This Row],[Venta diaria promedio]]*$N$2,0))*TablaStock[[#This Row],[Costo Unitario]],0)</f>
        <v>0</v>
      </c>
      <c r="K10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Óptimo</v>
      </c>
      <c r="M10" s="29"/>
      <c r="N10" s="29"/>
      <c r="O10" s="29"/>
      <c r="P10" s="29"/>
      <c r="Q10" s="29"/>
    </row>
    <row r="11" spans="1:21" x14ac:dyDescent="0.25">
      <c r="A11" s="4" t="s">
        <v>10</v>
      </c>
      <c r="B11" s="2" t="s">
        <v>31</v>
      </c>
      <c r="C11" s="5">
        <v>4700</v>
      </c>
      <c r="D11" s="2">
        <v>128</v>
      </c>
      <c r="E11" s="2">
        <v>3500</v>
      </c>
      <c r="F11" s="8">
        <f>+TablaStock[[#This Row],[Venta de los últimos 12 meses]]/365</f>
        <v>9.5890410958904102</v>
      </c>
      <c r="G11" s="8">
        <f>+TablaStock[[#This Row],[Stock Actual]]/TablaStock[[#This Row],[Venta diaria promedio]]</f>
        <v>13.348571428571429</v>
      </c>
      <c r="H11" s="9">
        <f>+TablaStock[[#This Row],[Costo Unitario]]*TablaStock[[#This Row],[Stock Actual]]</f>
        <v>601600</v>
      </c>
      <c r="I11" s="10" t="str">
        <f>+IF(TablaStock[[#This Row],[Días de inventario]]&gt;Productos!$N$2,"No Cumple","Si Cumple")</f>
        <v>Si Cumple</v>
      </c>
      <c r="J11" s="9">
        <f>+IF(TablaStock[[#This Row],[Semaforo]]="Critico",(TablaStock[[#This Row],[Stock Actual]]-ROUND(TablaStock[[#This Row],[Venta diaria promedio]]*$N$2,0))*TablaStock[[#This Row],[Costo Unitario]],0)</f>
        <v>0</v>
      </c>
      <c r="K11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1" s="29"/>
      <c r="N11" s="29"/>
      <c r="O11" s="29"/>
      <c r="P11" s="29"/>
      <c r="Q11" s="29"/>
    </row>
    <row r="12" spans="1:21" x14ac:dyDescent="0.25">
      <c r="A12" s="4" t="s">
        <v>11</v>
      </c>
      <c r="B12" s="2" t="s">
        <v>32</v>
      </c>
      <c r="C12" s="5">
        <v>5600</v>
      </c>
      <c r="D12" s="2">
        <v>856</v>
      </c>
      <c r="E12" s="2">
        <v>4890</v>
      </c>
      <c r="F12" s="8">
        <f>+TablaStock[[#This Row],[Venta de los últimos 12 meses]]/365</f>
        <v>13.397260273972602</v>
      </c>
      <c r="G12" s="8">
        <f>+TablaStock[[#This Row],[Stock Actual]]/TablaStock[[#This Row],[Venta diaria promedio]]</f>
        <v>63.893660531697343</v>
      </c>
      <c r="H12" s="9">
        <f>+TablaStock[[#This Row],[Costo Unitario]]*TablaStock[[#This Row],[Stock Actual]]</f>
        <v>4793600</v>
      </c>
      <c r="I12" s="10" t="str">
        <f>+IF(TablaStock[[#This Row],[Días de inventario]]&gt;Productos!$N$2,"No Cumple","Si Cumple")</f>
        <v>Si Cumple</v>
      </c>
      <c r="J12" s="9">
        <f>+IF(TablaStock[[#This Row],[Semaforo]]="Critico",(TablaStock[[#This Row],[Stock Actual]]-ROUND(TablaStock[[#This Row],[Venta diaria promedio]]*$N$2,0))*TablaStock[[#This Row],[Costo Unitario]],0)</f>
        <v>0</v>
      </c>
      <c r="K12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Óptimo</v>
      </c>
      <c r="M12" s="29"/>
      <c r="N12" s="29"/>
      <c r="O12" s="29"/>
      <c r="P12" s="29"/>
      <c r="Q12" s="29"/>
    </row>
    <row r="13" spans="1:21" x14ac:dyDescent="0.25">
      <c r="A13" s="4" t="s">
        <v>12</v>
      </c>
      <c r="B13" s="2" t="s">
        <v>33</v>
      </c>
      <c r="C13" s="5">
        <v>8700</v>
      </c>
      <c r="D13" s="2">
        <v>354</v>
      </c>
      <c r="E13" s="2">
        <v>7500</v>
      </c>
      <c r="F13" s="8">
        <f>+TablaStock[[#This Row],[Venta de los últimos 12 meses]]/365</f>
        <v>20.547945205479451</v>
      </c>
      <c r="G13" s="8">
        <f>+TablaStock[[#This Row],[Stock Actual]]/TablaStock[[#This Row],[Venta diaria promedio]]</f>
        <v>17.228000000000002</v>
      </c>
      <c r="H13" s="9">
        <f>+TablaStock[[#This Row],[Costo Unitario]]*TablaStock[[#This Row],[Stock Actual]]</f>
        <v>3079800</v>
      </c>
      <c r="I13" s="10" t="str">
        <f>+IF(TablaStock[[#This Row],[Días de inventario]]&gt;Productos!$N$2,"No Cumple","Si Cumple")</f>
        <v>Si Cumple</v>
      </c>
      <c r="J13" s="9">
        <f>+IF(TablaStock[[#This Row],[Semaforo]]="Critico",(TablaStock[[#This Row],[Stock Actual]]-ROUND(TablaStock[[#This Row],[Venta diaria promedio]]*$N$2,0))*TablaStock[[#This Row],[Costo Unitario]],0)</f>
        <v>0</v>
      </c>
      <c r="K13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3" s="29"/>
      <c r="N13" s="29"/>
      <c r="O13" s="29"/>
      <c r="P13" s="29"/>
      <c r="Q13" s="29"/>
    </row>
    <row r="14" spans="1:21" x14ac:dyDescent="0.25">
      <c r="A14" s="4" t="s">
        <v>13</v>
      </c>
      <c r="B14" s="2" t="s">
        <v>34</v>
      </c>
      <c r="C14" s="5">
        <v>9500</v>
      </c>
      <c r="D14" s="2">
        <v>95</v>
      </c>
      <c r="E14" s="2">
        <v>3780</v>
      </c>
      <c r="F14" s="8">
        <f>+TablaStock[[#This Row],[Venta de los últimos 12 meses]]/365</f>
        <v>10.356164383561644</v>
      </c>
      <c r="G14" s="8">
        <f>+TablaStock[[#This Row],[Stock Actual]]/TablaStock[[#This Row],[Venta diaria promedio]]</f>
        <v>9.1732804232804224</v>
      </c>
      <c r="H14" s="9">
        <f>+TablaStock[[#This Row],[Costo Unitario]]*TablaStock[[#This Row],[Stock Actual]]</f>
        <v>902500</v>
      </c>
      <c r="I14" s="10" t="str">
        <f>+IF(TablaStock[[#This Row],[Días de inventario]]&gt;Productos!$N$2,"No Cumple","Si Cumple")</f>
        <v>Si Cumple</v>
      </c>
      <c r="J14" s="9">
        <f>+IF(TablaStock[[#This Row],[Semaforo]]="Critico",(TablaStock[[#This Row],[Stock Actual]]-ROUND(TablaStock[[#This Row],[Venta diaria promedio]]*$N$2,0))*TablaStock[[#This Row],[Costo Unitario]],0)</f>
        <v>0</v>
      </c>
      <c r="K14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4" s="24" t="e" vm="1">
        <v>#VALUE!</v>
      </c>
      <c r="N14" s="24"/>
      <c r="O14" s="23" t="e" vm="2">
        <v>#VALUE!</v>
      </c>
      <c r="P14" s="28">
        <v>3517539140</v>
      </c>
      <c r="Q14" s="28"/>
    </row>
    <row r="15" spans="1:21" x14ac:dyDescent="0.25">
      <c r="A15" s="4" t="s">
        <v>14</v>
      </c>
      <c r="B15" s="2" t="s">
        <v>35</v>
      </c>
      <c r="C15" s="5">
        <v>1800</v>
      </c>
      <c r="D15" s="2">
        <v>150</v>
      </c>
      <c r="E15" s="2">
        <v>4682</v>
      </c>
      <c r="F15" s="8">
        <f>+TablaStock[[#This Row],[Venta de los últimos 12 meses]]/365</f>
        <v>12.827397260273973</v>
      </c>
      <c r="G15" s="8">
        <f>+TablaStock[[#This Row],[Stock Actual]]/TablaStock[[#This Row],[Venta diaria promedio]]</f>
        <v>11.693720632208459</v>
      </c>
      <c r="H15" s="9">
        <f>+TablaStock[[#This Row],[Costo Unitario]]*TablaStock[[#This Row],[Stock Actual]]</f>
        <v>270000</v>
      </c>
      <c r="I15" s="10" t="str">
        <f>+IF(TablaStock[[#This Row],[Días de inventario]]&gt;Productos!$N$2,"No Cumple","Si Cumple")</f>
        <v>Si Cumple</v>
      </c>
      <c r="J15" s="9">
        <f>+IF(TablaStock[[#This Row],[Semaforo]]="Critico",(TablaStock[[#This Row],[Stock Actual]]-ROUND(TablaStock[[#This Row],[Venta diaria promedio]]*$N$2,0))*TablaStock[[#This Row],[Costo Unitario]],0)</f>
        <v>0</v>
      </c>
      <c r="K15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5" s="24"/>
      <c r="N15" s="24"/>
      <c r="O15" s="23"/>
      <c r="P15" s="28"/>
      <c r="Q15" s="28"/>
    </row>
    <row r="16" spans="1:21" x14ac:dyDescent="0.25">
      <c r="A16" s="4" t="s">
        <v>15</v>
      </c>
      <c r="B16" s="2" t="s">
        <v>36</v>
      </c>
      <c r="C16" s="5">
        <v>1590</v>
      </c>
      <c r="D16" s="2">
        <v>86</v>
      </c>
      <c r="E16" s="2">
        <v>790</v>
      </c>
      <c r="F16" s="8">
        <f>+TablaStock[[#This Row],[Venta de los últimos 12 meses]]/365</f>
        <v>2.1643835616438358</v>
      </c>
      <c r="G16" s="8">
        <f>+TablaStock[[#This Row],[Stock Actual]]/TablaStock[[#This Row],[Venta diaria promedio]]</f>
        <v>39.734177215189867</v>
      </c>
      <c r="H16" s="9">
        <f>+TablaStock[[#This Row],[Costo Unitario]]*TablaStock[[#This Row],[Stock Actual]]</f>
        <v>136740</v>
      </c>
      <c r="I16" s="10" t="str">
        <f>+IF(TablaStock[[#This Row],[Días de inventario]]&gt;Productos!$N$2,"No Cumple","Si Cumple")</f>
        <v>Si Cumple</v>
      </c>
      <c r="J16" s="9">
        <f>+IF(TablaStock[[#This Row],[Semaforo]]="Critico",(TablaStock[[#This Row],[Stock Actual]]-ROUND(TablaStock[[#This Row],[Venta diaria promedio]]*$N$2,0))*TablaStock[[#This Row],[Costo Unitario]],0)</f>
        <v>0</v>
      </c>
      <c r="K16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6" s="24"/>
      <c r="N16" s="24"/>
    </row>
    <row r="17" spans="1:15" x14ac:dyDescent="0.25">
      <c r="A17" s="4" t="s">
        <v>16</v>
      </c>
      <c r="B17" s="2" t="s">
        <v>37</v>
      </c>
      <c r="C17" s="5">
        <v>5500</v>
      </c>
      <c r="D17" s="2">
        <v>2500</v>
      </c>
      <c r="E17" s="2">
        <v>4589</v>
      </c>
      <c r="F17" s="8">
        <f>+TablaStock[[#This Row],[Venta de los últimos 12 meses]]/365</f>
        <v>12.572602739726028</v>
      </c>
      <c r="G17" s="8">
        <f>+TablaStock[[#This Row],[Stock Actual]]/TablaStock[[#This Row],[Venta diaria promedio]]</f>
        <v>198.84506428415776</v>
      </c>
      <c r="H17" s="9">
        <f>+TablaStock[[#This Row],[Costo Unitario]]*TablaStock[[#This Row],[Stock Actual]]</f>
        <v>13750000</v>
      </c>
      <c r="I17" s="10" t="str">
        <f>+IF(TablaStock[[#This Row],[Días de inventario]]&gt;Productos!$N$2,"No Cumple","Si Cumple")</f>
        <v>No Cumple</v>
      </c>
      <c r="J17" s="9">
        <f>+IF(TablaStock[[#This Row],[Semaforo]]="Critico",(TablaStock[[#This Row],[Stock Actual]]-ROUND(TablaStock[[#This Row],[Venta diaria promedio]]*$N$2,0))*TablaStock[[#This Row],[Costo Unitario]],0)</f>
        <v>7524000</v>
      </c>
      <c r="K17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Critico</v>
      </c>
      <c r="M17" s="24"/>
      <c r="N17" s="24"/>
    </row>
    <row r="18" spans="1:15" x14ac:dyDescent="0.25">
      <c r="A18" s="4" t="s">
        <v>17</v>
      </c>
      <c r="B18" s="2" t="s">
        <v>38</v>
      </c>
      <c r="C18" s="5">
        <v>2570</v>
      </c>
      <c r="D18" s="2">
        <v>354</v>
      </c>
      <c r="E18" s="2">
        <v>7528</v>
      </c>
      <c r="F18" s="8">
        <f>+TablaStock[[#This Row],[Venta de los últimos 12 meses]]/365</f>
        <v>20.624657534246577</v>
      </c>
      <c r="G18" s="8">
        <f>+TablaStock[[#This Row],[Stock Actual]]/TablaStock[[#This Row],[Venta diaria promedio]]</f>
        <v>17.163921360255046</v>
      </c>
      <c r="H18" s="9">
        <f>+TablaStock[[#This Row],[Costo Unitario]]*TablaStock[[#This Row],[Stock Actual]]</f>
        <v>909780</v>
      </c>
      <c r="I18" s="10" t="str">
        <f>+IF(TablaStock[[#This Row],[Días de inventario]]&gt;Productos!$N$2,"No Cumple","Si Cumple")</f>
        <v>Si Cumple</v>
      </c>
      <c r="J18" s="9">
        <f>+IF(TablaStock[[#This Row],[Semaforo]]="Critico",(TablaStock[[#This Row],[Stock Actual]]-ROUND(TablaStock[[#This Row],[Venta diaria promedio]]*$N$2,0))*TablaStock[[#This Row],[Costo Unitario]],0)</f>
        <v>0</v>
      </c>
      <c r="K18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8" s="24" t="e" vm="3">
        <v>#VALUE!</v>
      </c>
      <c r="N18" s="22" t="s">
        <v>64</v>
      </c>
      <c r="O18" s="22"/>
    </row>
    <row r="19" spans="1:15" x14ac:dyDescent="0.25">
      <c r="A19" s="4" t="s">
        <v>18</v>
      </c>
      <c r="B19" s="2" t="s">
        <v>39</v>
      </c>
      <c r="C19" s="5">
        <v>3500</v>
      </c>
      <c r="D19" s="2">
        <v>940</v>
      </c>
      <c r="E19" s="2">
        <v>9871</v>
      </c>
      <c r="F19" s="8">
        <f>+TablaStock[[#This Row],[Venta de los últimos 12 meses]]/365</f>
        <v>27.043835616438358</v>
      </c>
      <c r="G19" s="8">
        <f>+TablaStock[[#This Row],[Stock Actual]]/TablaStock[[#This Row],[Venta diaria promedio]]</f>
        <v>34.758383142538747</v>
      </c>
      <c r="H19" s="9">
        <f>+TablaStock[[#This Row],[Costo Unitario]]*TablaStock[[#This Row],[Stock Actual]]</f>
        <v>3290000</v>
      </c>
      <c r="I19" s="10" t="str">
        <f>+IF(TablaStock[[#This Row],[Días de inventario]]&gt;Productos!$N$2,"No Cumple","Si Cumple")</f>
        <v>Si Cumple</v>
      </c>
      <c r="J19" s="9">
        <f>+IF(TablaStock[[#This Row],[Semaforo]]="Critico",(TablaStock[[#This Row],[Stock Actual]]-ROUND(TablaStock[[#This Row],[Venta diaria promedio]]*$N$2,0))*TablaStock[[#This Row],[Costo Unitario]],0)</f>
        <v>0</v>
      </c>
      <c r="K19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19" s="24"/>
      <c r="N19" s="22"/>
      <c r="O19" s="22"/>
    </row>
    <row r="20" spans="1:15" x14ac:dyDescent="0.25">
      <c r="A20" s="4" t="s">
        <v>19</v>
      </c>
      <c r="B20" s="2" t="s">
        <v>40</v>
      </c>
      <c r="C20" s="5">
        <v>1000</v>
      </c>
      <c r="D20" s="2">
        <v>480</v>
      </c>
      <c r="E20" s="2">
        <v>6584</v>
      </c>
      <c r="F20" s="8">
        <f>+TablaStock[[#This Row],[Venta de los últimos 12 meses]]/365</f>
        <v>18.038356164383561</v>
      </c>
      <c r="G20" s="8">
        <f>+TablaStock[[#This Row],[Stock Actual]]/TablaStock[[#This Row],[Venta diaria promedio]]</f>
        <v>26.60996354799514</v>
      </c>
      <c r="H20" s="9">
        <f>+TablaStock[[#This Row],[Costo Unitario]]*TablaStock[[#This Row],[Stock Actual]]</f>
        <v>480000</v>
      </c>
      <c r="I20" s="10" t="str">
        <f>+IF(TablaStock[[#This Row],[Días de inventario]]&gt;Productos!$N$2,"No Cumple","Si Cumple")</f>
        <v>Si Cumple</v>
      </c>
      <c r="J20" s="9">
        <f>+IF(TablaStock[[#This Row],[Semaforo]]="Critico",(TablaStock[[#This Row],[Stock Actual]]-ROUND(TablaStock[[#This Row],[Venta diaria promedio]]*$N$2,0))*TablaStock[[#This Row],[Costo Unitario]],0)</f>
        <v>0</v>
      </c>
      <c r="K20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20" s="24" t="e" vm="4">
        <v>#VALUE!</v>
      </c>
      <c r="N20" s="22" t="s">
        <v>64</v>
      </c>
      <c r="O20" s="22"/>
    </row>
    <row r="21" spans="1:15" x14ac:dyDescent="0.25">
      <c r="A21" s="4" t="s">
        <v>20</v>
      </c>
      <c r="B21" s="2" t="s">
        <v>41</v>
      </c>
      <c r="C21" s="5">
        <v>7500</v>
      </c>
      <c r="D21" s="2">
        <v>523</v>
      </c>
      <c r="E21" s="2">
        <v>3000</v>
      </c>
      <c r="F21" s="8">
        <f>+TablaStock[[#This Row],[Venta de los últimos 12 meses]]/365</f>
        <v>8.2191780821917817</v>
      </c>
      <c r="G21" s="8">
        <f>+TablaStock[[#This Row],[Stock Actual]]/TablaStock[[#This Row],[Venta diaria promedio]]</f>
        <v>63.631666666666661</v>
      </c>
      <c r="H21" s="9">
        <f>+TablaStock[[#This Row],[Costo Unitario]]*TablaStock[[#This Row],[Stock Actual]]</f>
        <v>3922500</v>
      </c>
      <c r="I21" s="10" t="str">
        <f>+IF(TablaStock[[#This Row],[Días de inventario]]&gt;Productos!$N$2,"No Cumple","Si Cumple")</f>
        <v>Si Cumple</v>
      </c>
      <c r="J21" s="9">
        <f>+IF(TablaStock[[#This Row],[Semaforo]]="Critico",(TablaStock[[#This Row],[Stock Actual]]-ROUND(TablaStock[[#This Row],[Venta diaria promedio]]*$N$2,0))*TablaStock[[#This Row],[Costo Unitario]],0)</f>
        <v>0</v>
      </c>
      <c r="K21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Óptimo</v>
      </c>
      <c r="M21" s="24"/>
      <c r="N21" s="22"/>
      <c r="O21" s="22"/>
    </row>
    <row r="22" spans="1:15" x14ac:dyDescent="0.25">
      <c r="A22" s="4" t="s">
        <v>21</v>
      </c>
      <c r="B22" s="2" t="s">
        <v>42</v>
      </c>
      <c r="C22" s="5">
        <v>3500</v>
      </c>
      <c r="D22" s="2">
        <v>368</v>
      </c>
      <c r="E22" s="2">
        <v>85000</v>
      </c>
      <c r="F22" s="8">
        <f>+TablaStock[[#This Row],[Venta de los últimos 12 meses]]/365</f>
        <v>232.87671232876713</v>
      </c>
      <c r="G22" s="8">
        <f>+TablaStock[[#This Row],[Stock Actual]]/TablaStock[[#This Row],[Venta diaria promedio]]</f>
        <v>1.580235294117647</v>
      </c>
      <c r="H22" s="9">
        <f>+TablaStock[[#This Row],[Costo Unitario]]*TablaStock[[#This Row],[Stock Actual]]</f>
        <v>1288000</v>
      </c>
      <c r="I22" s="10" t="str">
        <f>+IF(TablaStock[[#This Row],[Días de inventario]]&gt;Productos!$N$2,"No Cumple","Si Cumple")</f>
        <v>Si Cumple</v>
      </c>
      <c r="J22" s="9">
        <f>+IF(TablaStock[[#This Row],[Semaforo]]="Critico",(TablaStock[[#This Row],[Stock Actual]]-ROUND(TablaStock[[#This Row],[Venta diaria promedio]]*$N$2,0))*TablaStock[[#This Row],[Costo Unitario]],0)</f>
        <v>0</v>
      </c>
      <c r="K22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22" s="25" t="e" vm="5">
        <v>#VALUE!</v>
      </c>
      <c r="N22" s="22" t="s">
        <v>64</v>
      </c>
      <c r="O22" s="22"/>
    </row>
    <row r="23" spans="1:15" x14ac:dyDescent="0.25">
      <c r="A23" s="4" t="s">
        <v>22</v>
      </c>
      <c r="B23" s="2" t="s">
        <v>43</v>
      </c>
      <c r="C23" s="5">
        <v>4000</v>
      </c>
      <c r="D23" s="2">
        <v>752</v>
      </c>
      <c r="E23" s="2">
        <v>785000</v>
      </c>
      <c r="F23" s="8">
        <f>+TablaStock[[#This Row],[Venta de los últimos 12 meses]]/365</f>
        <v>2150.6849315068494</v>
      </c>
      <c r="G23" s="8">
        <f>+TablaStock[[#This Row],[Stock Actual]]/TablaStock[[#This Row],[Venta diaria promedio]]</f>
        <v>0.34965605095541402</v>
      </c>
      <c r="H23" s="9">
        <f>+TablaStock[[#This Row],[Costo Unitario]]*TablaStock[[#This Row],[Stock Actual]]</f>
        <v>3008000</v>
      </c>
      <c r="I23" s="10" t="str">
        <f>+IF(TablaStock[[#This Row],[Días de inventario]]&gt;Productos!$N$2,"No Cumple","Si Cumple")</f>
        <v>Si Cumple</v>
      </c>
      <c r="J23" s="9">
        <f>+IF(TablaStock[[#This Row],[Semaforo]]="Critico",(TablaStock[[#This Row],[Stock Actual]]-ROUND(TablaStock[[#This Row],[Venta diaria promedio]]*$N$2,0))*TablaStock[[#This Row],[Costo Unitario]],0)</f>
        <v>0</v>
      </c>
      <c r="K23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  <c r="M23" s="25"/>
      <c r="N23" s="22"/>
      <c r="O23" s="22"/>
    </row>
    <row r="24" spans="1:15" x14ac:dyDescent="0.25">
      <c r="A24" s="4" t="s">
        <v>23</v>
      </c>
      <c r="B24" s="2" t="s">
        <v>44</v>
      </c>
      <c r="C24" s="5">
        <v>5800</v>
      </c>
      <c r="D24" s="2">
        <v>140</v>
      </c>
      <c r="E24" s="2">
        <v>5621</v>
      </c>
      <c r="F24" s="8">
        <f>+TablaStock[[#This Row],[Venta de los últimos 12 meses]]/365</f>
        <v>15.4</v>
      </c>
      <c r="G24" s="8">
        <f>+TablaStock[[#This Row],[Stock Actual]]/TablaStock[[#This Row],[Venta diaria promedio]]</f>
        <v>9.0909090909090899</v>
      </c>
      <c r="H24" s="9">
        <f>+TablaStock[[#This Row],[Costo Unitario]]*TablaStock[[#This Row],[Stock Actual]]</f>
        <v>812000</v>
      </c>
      <c r="I24" s="10" t="str">
        <f>+IF(TablaStock[[#This Row],[Días de inventario]]&gt;Productos!$N$2,"No Cumple","Si Cumple")</f>
        <v>Si Cumple</v>
      </c>
      <c r="J24" s="9">
        <f>+IF(TablaStock[[#This Row],[Semaforo]]="Critico",(TablaStock[[#This Row],[Stock Actual]]-ROUND(TablaStock[[#This Row],[Venta diaria promedio]]*$N$2,0))*TablaStock[[#This Row],[Costo Unitario]],0)</f>
        <v>0</v>
      </c>
      <c r="K24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</row>
    <row r="25" spans="1:15" x14ac:dyDescent="0.25">
      <c r="A25" s="4" t="s">
        <v>24</v>
      </c>
      <c r="B25" s="2" t="s">
        <v>45</v>
      </c>
      <c r="C25" s="5">
        <v>3900</v>
      </c>
      <c r="D25" s="2">
        <v>450</v>
      </c>
      <c r="E25" s="2">
        <v>78925</v>
      </c>
      <c r="F25" s="8">
        <f>+TablaStock[[#This Row],[Venta de los últimos 12 meses]]/365</f>
        <v>216.23287671232876</v>
      </c>
      <c r="G25" s="8">
        <f>+TablaStock[[#This Row],[Stock Actual]]/TablaStock[[#This Row],[Venta diaria promedio]]</f>
        <v>2.081089642065252</v>
      </c>
      <c r="H25" s="9">
        <f>+TablaStock[[#This Row],[Costo Unitario]]*TablaStock[[#This Row],[Stock Actual]]</f>
        <v>1755000</v>
      </c>
      <c r="I25" s="10" t="str">
        <f>+IF(TablaStock[[#This Row],[Días de inventario]]&gt;Productos!$N$2,"No Cumple","Si Cumple")</f>
        <v>Si Cumple</v>
      </c>
      <c r="J25" s="9">
        <f>+IF(TablaStock[[#This Row],[Semaforo]]="Critico",(TablaStock[[#This Row],[Stock Actual]]-ROUND(TablaStock[[#This Row],[Venta diaria promedio]]*$N$2,0))*TablaStock[[#This Row],[Costo Unitario]],0)</f>
        <v>0</v>
      </c>
      <c r="K25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</row>
    <row r="26" spans="1:15" x14ac:dyDescent="0.25">
      <c r="A26" s="4" t="s">
        <v>25</v>
      </c>
      <c r="B26" s="2" t="s">
        <v>46</v>
      </c>
      <c r="C26" s="5">
        <v>4500</v>
      </c>
      <c r="D26" s="2">
        <v>687</v>
      </c>
      <c r="E26" s="2">
        <v>15000</v>
      </c>
      <c r="F26" s="8">
        <f>+TablaStock[[#This Row],[Venta de los últimos 12 meses]]/365</f>
        <v>41.095890410958901</v>
      </c>
      <c r="G26" s="8">
        <f>+TablaStock[[#This Row],[Stock Actual]]/TablaStock[[#This Row],[Venta diaria promedio]]</f>
        <v>16.717000000000002</v>
      </c>
      <c r="H26" s="9">
        <f>+TablaStock[[#This Row],[Costo Unitario]]*TablaStock[[#This Row],[Stock Actual]]</f>
        <v>3091500</v>
      </c>
      <c r="I26" s="10" t="str">
        <f>+IF(TablaStock[[#This Row],[Días de inventario]]&gt;Productos!$N$2,"No Cumple","Si Cumple")</f>
        <v>Si Cumple</v>
      </c>
      <c r="J26" s="9">
        <f>+IF(TablaStock[[#This Row],[Semaforo]]="Critico",(TablaStock[[#This Row],[Stock Actual]]-ROUND(TablaStock[[#This Row],[Venta diaria promedio]]*$N$2,0))*TablaStock[[#This Row],[Costo Unitario]],0)</f>
        <v>0</v>
      </c>
      <c r="K26" s="10" t="str">
        <f>+IF(TablaStock[[#This Row],[Días de inventario]]&gt;Productos!$N$2,"Critico",IF(AND(TablaStock[[#This Row],[Días de inventario]]&lt;Productos!$N$2,TablaStock[[#This Row],[Días de inventario]]&gt;Productos!$N$1),"Óptimo","Posible Quiebre"))</f>
        <v>Posible Quiebre</v>
      </c>
    </row>
    <row r="27" spans="1:15" x14ac:dyDescent="0.25">
      <c r="A27" s="2" t="s">
        <v>58</v>
      </c>
      <c r="F27" s="10"/>
      <c r="G27" s="10"/>
      <c r="H27" s="10"/>
      <c r="I27" s="10"/>
      <c r="J27" s="10"/>
      <c r="K27" s="10">
        <f>SUBTOTAL(103,TablaStock[Semaforo])</f>
        <v>21</v>
      </c>
    </row>
  </sheetData>
  <mergeCells count="12">
    <mergeCell ref="M14:N17"/>
    <mergeCell ref="N22:O23"/>
    <mergeCell ref="M22:M23"/>
    <mergeCell ref="A1:E4"/>
    <mergeCell ref="F1:K4"/>
    <mergeCell ref="P14:Q15"/>
    <mergeCell ref="O14:O15"/>
    <mergeCell ref="N18:O19"/>
    <mergeCell ref="N20:O21"/>
    <mergeCell ref="M20:M21"/>
    <mergeCell ref="M18:M19"/>
    <mergeCell ref="M6:Q13"/>
  </mergeCells>
  <phoneticPr fontId="3" type="noConversion"/>
  <hyperlinks>
    <hyperlink ref="N18" r:id="rId1" xr:uid="{7FF87889-57F9-4077-AE0E-D176069A778B}"/>
    <hyperlink ref="N20" r:id="rId2" xr:uid="{FA3D23DB-1459-45C0-9203-0E21688980C6}"/>
    <hyperlink ref="P14" r:id="rId3" display="3517539140" xr:uid="{A2ACEBA5-9106-413C-BC8C-F19426A2E5AD}"/>
    <hyperlink ref="N22" r:id="rId4" xr:uid="{20FFE6E3-FB1B-4516-B6A8-641C56BCC926}"/>
  </hyperlinks>
  <pageMargins left="0.7" right="0.7" top="0.75" bottom="0.75" header="0.3" footer="0.3"/>
  <pageSetup paperSize="9" orientation="portrait" r:id="rId5"/>
  <ignoredErrors>
    <ignoredError sqref="I6 I7:I14 K6 I16:I26 I15 K15 K16:K26 K7:K14" calculatedColumn="1"/>
  </ignoredErrors>
  <drawing r:id="rId6"/>
  <tableParts count="1">
    <tablePart r:id="rId7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8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</dc:creator>
  <cp:lastModifiedBy>Matias</cp:lastModifiedBy>
  <dcterms:created xsi:type="dcterms:W3CDTF">2015-06-05T18:19:34Z</dcterms:created>
  <dcterms:modified xsi:type="dcterms:W3CDTF">2025-12-03T01:49:19Z</dcterms:modified>
</cp:coreProperties>
</file>